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8135" windowHeight="11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<sst xmlns="http://schemas.openxmlformats.org/spreadsheetml/2006/main" count="75" uniqueCount="55">
  <si>
    <t>Str</t>
  </si>
  <si>
    <t>Agi</t>
  </si>
  <si>
    <t>Vit</t>
  </si>
  <si>
    <t>Int</t>
  </si>
  <si>
    <t>Dex</t>
  </si>
  <si>
    <t>Luk</t>
  </si>
  <si>
    <t>Weapon ATK</t>
  </si>
  <si>
    <t>Equip ATK</t>
  </si>
  <si>
    <t>Weapon ASPD Mod</t>
  </si>
  <si>
    <t>Weapon Level</t>
  </si>
  <si>
    <t>% vs Race</t>
  </si>
  <si>
    <t>% vs Element</t>
  </si>
  <si>
    <t>% vs Size</t>
  </si>
  <si>
    <t>Other % Modifiers</t>
  </si>
  <si>
    <t>Attack</t>
  </si>
  <si>
    <t>Defense</t>
  </si>
  <si>
    <t>Magic Attack</t>
  </si>
  <si>
    <t>Magic Defense</t>
  </si>
  <si>
    <t>Hit</t>
  </si>
  <si>
    <t>Flee</t>
  </si>
  <si>
    <t>Base Level</t>
  </si>
  <si>
    <t>+</t>
  </si>
  <si>
    <t>=</t>
  </si>
  <si>
    <t>Bonus Hit</t>
  </si>
  <si>
    <t>Bonus Flee</t>
  </si>
  <si>
    <t>ASPD</t>
  </si>
  <si>
    <t>Bonus Perfect Dodge</t>
  </si>
  <si>
    <t>Skill ATK Modifier</t>
  </si>
  <si>
    <t>%</t>
  </si>
  <si>
    <t>Equipment Defense</t>
  </si>
  <si>
    <t>Equipment MDEF</t>
  </si>
  <si>
    <t>Target Defense</t>
  </si>
  <si>
    <t>Weapon Magic ATK</t>
  </si>
  <si>
    <t>Dex based weapon*</t>
  </si>
  <si>
    <t>(Do not modify any fields in blue)</t>
  </si>
  <si>
    <t>Attack Damage</t>
  </si>
  <si>
    <t>Status Damage</t>
  </si>
  <si>
    <t>Base Weapon Damage</t>
  </si>
  <si>
    <t>Over Refine Bonus</t>
  </si>
  <si>
    <t>Final Weapon Damage</t>
  </si>
  <si>
    <t>Random Attack</t>
  </si>
  <si>
    <t>Size Modifier</t>
  </si>
  <si>
    <t>Non Skill Damage</t>
  </si>
  <si>
    <t>Skill Damage</t>
  </si>
  <si>
    <t>~</t>
  </si>
  <si>
    <t>* 0 is no 1 is yes</t>
  </si>
  <si>
    <t>Target Status Defense</t>
  </si>
  <si>
    <t>Mastery Damage</t>
  </si>
  <si>
    <t>Critical Damage</t>
  </si>
  <si>
    <t>Config</t>
  </si>
  <si>
    <t>Def Mod</t>
  </si>
  <si>
    <t>* Probably doesn't work</t>
  </si>
  <si>
    <t>Weapon Upgrade*</t>
  </si>
  <si>
    <t>* Don't trust his lies</t>
  </si>
  <si>
    <t>Weapon # of Hands*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</si>
</sst>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</numFmts>
  <fonts count="36">
    <font>
      <sz val="11"/>
      <color theme="1"/>
      <name val="Calibri"/>
      <family val="3"/>
    </font>
    <font>
      <sz val="11"/>
      <color indexed="8"/>
      <name val="Calibri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0" xfId="0" applyBorder="1" applyAlignment="1">
      <alignment/>
    </xf>
    <xf numFmtId="0" fontId="0" fillId="0" borderId="1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ill="1" applyAlignment="1">
      <alignment/>
    </xf>
    <xf numFmtId="0" fontId="34" fillId="0" borderId="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9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2" max="2" width="20.28125" style="0" customWidth="1"/>
    <col min="3" max="3" width="6.140625" style="0" customWidth="1"/>
    <col min="4" max="4" width="2.8515625" style="0" customWidth="1"/>
    <col min="5" max="5" width="4.140625" style="0" customWidth="1"/>
    <col min="6" max="6" width="2.28125" style="0" customWidth="1"/>
    <col min="9" max="9" width="22.8515625" style="0" customWidth="1"/>
    <col min="10" max="10" width="7.57421875" style="0" customWidth="1"/>
    <col min="11" max="11" width="2.140625" style="0" customWidth="1"/>
    <col min="12" max="12" width="7.00390625" style="0" customWidth="1"/>
  </cols>
  <sheetData>
    <row r="2" spans="2:14" ht="13.5">
      <c r="B2" s="11" t="s">
        <v>20</v>
      </c>
      <c r="C2" s="12">
        <v>1</v>
      </c>
      <c r="I2" t="s">
        <v>34</v>
      </c>
      <c r="N2" t="s">
        <v>49</v>
      </c>
    </row>
    <row r="4" spans="2:15" ht="13.5">
      <c r="B4" s="1" t="s">
        <v>0</v>
      </c>
      <c r="C4" s="7">
        <v>1</v>
      </c>
      <c r="D4" s="7" t="s">
        <v>21</v>
      </c>
      <c r="E4" s="7">
        <v>0</v>
      </c>
      <c r="F4" s="7" t="s">
        <v>22</v>
      </c>
      <c r="G4" s="31">
        <f aca="true" t="shared" si="0" ref="G4:G9">C4+E4</f>
        <v>1</v>
      </c>
      <c r="I4" s="17" t="s">
        <v>14</v>
      </c>
      <c r="J4" s="18">
        <f>IF(C18=0,FLOOR(C2/4+G4+G8/5+G9/3,1),FLOOR(C2/4+G8+G4/5+G9/3,1))</f>
        <v>1</v>
      </c>
      <c r="K4" s="18" t="s">
        <v>21</v>
      </c>
      <c r="L4" s="19">
        <f>C11+IF(C14=1,2*C15,(C14*2-1)*C15)+C13</f>
        <v>0</v>
      </c>
      <c r="N4" s="28" t="s">
        <v>50</v>
      </c>
      <c r="O4" s="29">
        <v>575</v>
      </c>
    </row>
    <row r="5" spans="2:12" ht="13.5">
      <c r="B5" s="3" t="s">
        <v>1</v>
      </c>
      <c r="C5" s="8">
        <v>1</v>
      </c>
      <c r="D5" s="8" t="s">
        <v>21</v>
      </c>
      <c r="E5" s="8">
        <v>0</v>
      </c>
      <c r="F5" s="8" t="s">
        <v>22</v>
      </c>
      <c r="G5" s="32">
        <f t="shared" si="0"/>
        <v>1</v>
      </c>
      <c r="I5" s="20" t="s">
        <v>15</v>
      </c>
      <c r="J5" s="21">
        <f>FLOOR(C2/2+G5/5+G6/2,1)</f>
        <v>1</v>
      </c>
      <c r="K5" s="21" t="s">
        <v>21</v>
      </c>
      <c r="L5" s="22">
        <f>C36</f>
        <v>0</v>
      </c>
    </row>
    <row r="6" spans="2:12" ht="13.5">
      <c r="B6" s="3" t="s">
        <v>2</v>
      </c>
      <c r="C6" s="8">
        <v>1</v>
      </c>
      <c r="D6" s="8" t="s">
        <v>21</v>
      </c>
      <c r="E6" s="8">
        <v>0</v>
      </c>
      <c r="F6" s="8" t="s">
        <v>22</v>
      </c>
      <c r="G6" s="32">
        <f t="shared" si="0"/>
        <v>1</v>
      </c>
      <c r="I6" s="20" t="s">
        <v>16</v>
      </c>
      <c r="J6" s="21">
        <f>FLOOR(C2/4+G7*1.5+G8/5+G9/3,1)</f>
        <v>2</v>
      </c>
      <c r="K6" s="21" t="s">
        <v>21</v>
      </c>
      <c r="L6" s="22">
        <f>IF(AND(C20&gt;1,C12=0),C12,C12+IF(C14=1,2*C15,(C14*2-1)*C15))</f>
        <v>0</v>
      </c>
    </row>
    <row r="7" spans="2:12" ht="13.5">
      <c r="B7" s="3" t="s">
        <v>3</v>
      </c>
      <c r="C7" s="10">
        <v>1</v>
      </c>
      <c r="D7" s="10" t="s">
        <v>21</v>
      </c>
      <c r="E7" s="10">
        <v>0</v>
      </c>
      <c r="F7" s="10" t="s">
        <v>22</v>
      </c>
      <c r="G7" s="32">
        <f t="shared" si="0"/>
        <v>1</v>
      </c>
      <c r="I7" s="20" t="s">
        <v>17</v>
      </c>
      <c r="J7" s="21">
        <f>FLOOR(C2/4+G6/5+G7+G8/5,1)</f>
        <v>1</v>
      </c>
      <c r="K7" s="21" t="s">
        <v>21</v>
      </c>
      <c r="L7" s="22">
        <f>C37</f>
        <v>0</v>
      </c>
    </row>
    <row r="8" spans="2:12" ht="13.5">
      <c r="B8" s="3" t="s">
        <v>4</v>
      </c>
      <c r="C8" s="10">
        <v>1</v>
      </c>
      <c r="D8" s="10" t="s">
        <v>21</v>
      </c>
      <c r="E8" s="10">
        <v>0</v>
      </c>
      <c r="F8" s="10" t="s">
        <v>22</v>
      </c>
      <c r="G8" s="32">
        <f t="shared" si="0"/>
        <v>1</v>
      </c>
      <c r="I8" s="20" t="s">
        <v>19</v>
      </c>
      <c r="J8" s="21">
        <f>FLOOR(100+C2+G5+G9/5+C28,1)</f>
        <v>102</v>
      </c>
      <c r="K8" s="21" t="s">
        <v>21</v>
      </c>
      <c r="L8" s="22">
        <f>FLOOR(G9/10,1)+C29+1</f>
        <v>1</v>
      </c>
    </row>
    <row r="9" spans="2:12" ht="13.5">
      <c r="B9" s="5" t="s">
        <v>5</v>
      </c>
      <c r="C9" s="13">
        <v>1</v>
      </c>
      <c r="D9" s="9" t="s">
        <v>21</v>
      </c>
      <c r="E9" s="9">
        <v>0</v>
      </c>
      <c r="F9" s="9" t="s">
        <v>22</v>
      </c>
      <c r="G9" s="33">
        <f t="shared" si="0"/>
        <v>1</v>
      </c>
      <c r="I9" s="20" t="s">
        <v>18</v>
      </c>
      <c r="J9" s="21">
        <f>FLOOR(175+C2+G8+C27+G9/3,1)</f>
        <v>177</v>
      </c>
      <c r="K9" s="21"/>
      <c r="L9" s="22"/>
    </row>
    <row r="10" spans="2:12" ht="13.5">
      <c r="B10" s="8"/>
      <c r="C10" s="8"/>
      <c r="D10" s="8"/>
      <c r="E10" s="8"/>
      <c r="F10" s="8"/>
      <c r="G10" s="8"/>
      <c r="I10" s="23" t="s">
        <v>25</v>
      </c>
      <c r="J10" s="24">
        <f>MIN(193,FLOOR(C17+SQRT((G5^2/2)+(G8^2/IF(C18=0,5,7)))/4,1))</f>
        <v>156</v>
      </c>
      <c r="K10" s="24"/>
      <c r="L10" s="25"/>
    </row>
    <row r="11" spans="2:7" ht="13.5">
      <c r="B11" s="1" t="s">
        <v>6</v>
      </c>
      <c r="C11" s="2">
        <v>0</v>
      </c>
      <c r="D11" s="8"/>
      <c r="E11" s="8"/>
      <c r="F11" s="8"/>
      <c r="G11" s="8"/>
    </row>
    <row r="12" spans="2:12" ht="13.5">
      <c r="B12" s="3" t="s">
        <v>32</v>
      </c>
      <c r="C12" s="4">
        <v>0</v>
      </c>
      <c r="D12" s="8"/>
      <c r="E12" s="8"/>
      <c r="F12" s="8"/>
      <c r="G12" s="8"/>
      <c r="I12" s="27" t="s">
        <v>35</v>
      </c>
      <c r="J12" s="26"/>
      <c r="K12" s="26"/>
      <c r="L12" s="26"/>
    </row>
    <row r="13" spans="2:12" ht="13.5">
      <c r="B13" s="3" t="s">
        <v>7</v>
      </c>
      <c r="C13" s="4">
        <v>0</v>
      </c>
      <c r="D13" s="8"/>
      <c r="E13" s="8"/>
      <c r="F13" s="8"/>
      <c r="G13" s="8"/>
      <c r="I13" s="17" t="s">
        <v>36</v>
      </c>
      <c r="J13" s="19">
        <f>J4*2</f>
        <v>2</v>
      </c>
      <c r="K13" s="26"/>
      <c r="L13" s="26"/>
    </row>
    <row r="14" spans="2:12" ht="13.5">
      <c r="B14" s="3" t="s">
        <v>9</v>
      </c>
      <c r="C14" s="4">
        <v>1</v>
      </c>
      <c r="D14" s="8"/>
      <c r="E14" s="8"/>
      <c r="F14" s="8"/>
      <c r="G14" s="8"/>
      <c r="I14" s="28" t="s">
        <v>38</v>
      </c>
      <c r="J14" s="29">
        <f>IF(C20&gt;1,0,C15+FLOOR(C15+C14,1)*MAX(C15-(8-C14),0))</f>
        <v>0</v>
      </c>
      <c r="K14" s="26"/>
      <c r="L14" s="26"/>
    </row>
    <row r="15" spans="2:12" ht="13.5">
      <c r="B15" s="5" t="s">
        <v>52</v>
      </c>
      <c r="C15" s="6">
        <v>0</v>
      </c>
      <c r="D15" s="8"/>
      <c r="E15" s="8" t="s">
        <v>51</v>
      </c>
      <c r="F15" s="8"/>
      <c r="G15" s="8"/>
      <c r="I15" s="23" t="s">
        <v>37</v>
      </c>
      <c r="J15" s="25">
        <f>ROUND(FLOOR((FLOOR(C11*((IF(C18=0,G4,G8)+200)/200),1)+FLOOR(IF(C14=1,2*C15,(C14*2-1)*C15),1))+J14,1)*(C19/100)+C13,0)</f>
        <v>0</v>
      </c>
      <c r="K15" s="26"/>
      <c r="L15" s="26"/>
    </row>
    <row r="16" spans="2:12" ht="13.5">
      <c r="B16" s="8"/>
      <c r="C16" s="8"/>
      <c r="D16" s="8"/>
      <c r="E16" s="8"/>
      <c r="F16" s="8"/>
      <c r="G16" s="8"/>
      <c r="I16" s="28" t="s">
        <v>39</v>
      </c>
      <c r="J16" s="29">
        <f>FLOOR(J15*(1+(C22/100))*(1+(C23/100))*(1+(C24/100)),1)</f>
        <v>0</v>
      </c>
      <c r="K16" s="26"/>
      <c r="L16" s="26"/>
    </row>
    <row r="17" spans="2:12" ht="13.5">
      <c r="B17" s="1" t="s">
        <v>8</v>
      </c>
      <c r="C17" s="2">
        <v>156</v>
      </c>
      <c r="D17" s="8"/>
      <c r="E17" s="8"/>
      <c r="F17" s="8"/>
      <c r="G17" s="8"/>
      <c r="I17" s="17" t="s">
        <v>40</v>
      </c>
      <c r="J17" s="19">
        <f>FLOOR(C11*0.05*C14*(C19/100)*(1+(C22/100))*(1+(C23/100))*(1+(C24/100)),1)</f>
        <v>0</v>
      </c>
      <c r="K17" s="26"/>
      <c r="L17" s="26"/>
    </row>
    <row r="18" spans="2:12" ht="13.5">
      <c r="B18" s="3" t="s">
        <v>33</v>
      </c>
      <c r="C18" s="4">
        <v>0</v>
      </c>
      <c r="D18" s="8"/>
      <c r="E18" s="8" t="s">
        <v>45</v>
      </c>
      <c r="F18" s="8"/>
      <c r="G18" s="8"/>
      <c r="I18" s="28" t="s">
        <v>42</v>
      </c>
      <c r="J18" s="30">
        <f>FLOOR(MAX(0,(J13+J16-J17)*(1+(C25/100))*(O4/(O4+C33))-C34),1)+C39</f>
        <v>2</v>
      </c>
      <c r="K18" s="30" t="s">
        <v>44</v>
      </c>
      <c r="L18" s="29">
        <f>FLOOR(MAX(0,(J13+J16+J17)*(1+(C25/100))*(O4/(O4+C33))-C34),1)+C39</f>
        <v>2</v>
      </c>
    </row>
    <row r="19" spans="2:12" ht="13.5">
      <c r="B19" s="3" t="s">
        <v>41</v>
      </c>
      <c r="C19" s="4">
        <v>100</v>
      </c>
      <c r="D19" s="8"/>
      <c r="E19" s="8"/>
      <c r="F19" s="8"/>
      <c r="G19" s="8"/>
      <c r="I19" s="23" t="s">
        <v>43</v>
      </c>
      <c r="J19" s="24">
        <f>FLOOR(MAX(0,(J13+J16-J17)*((C31/100)+(C25/100))*(O4/(O4+C33))-C34),1)+C39</f>
        <v>12</v>
      </c>
      <c r="K19" s="24" t="s">
        <v>44</v>
      </c>
      <c r="L19" s="25">
        <f>ROUND(MAX(0,(J13+J16+J17)*((C31/100)+(C25/100))*(O4/(O4+C33))-C34),0)+C39</f>
        <v>12</v>
      </c>
    </row>
    <row r="20" spans="2:12" ht="13.5">
      <c r="B20" s="5" t="s">
        <v>54</v>
      </c>
      <c r="C20" s="6">
        <v>1</v>
      </c>
      <c r="D20" s="8"/>
      <c r="E20" s="8" t="s">
        <v>53</v>
      </c>
      <c r="F20" s="8"/>
      <c r="G20" s="8"/>
      <c r="I20" s="28" t="s">
        <v>48</v>
      </c>
      <c r="J20" s="29">
        <f>FLOOR(L18*1.4,1)</f>
        <v>2</v>
      </c>
      <c r="K20" s="26"/>
      <c r="L20" s="26"/>
    </row>
    <row r="21" spans="2:12" ht="13.5">
      <c r="B21" s="8"/>
      <c r="C21" s="8"/>
      <c r="D21" s="8"/>
      <c r="E21" s="8"/>
      <c r="F21" s="8"/>
      <c r="G21" s="8"/>
      <c r="I21" s="26"/>
      <c r="J21" s="26"/>
      <c r="K21" s="26"/>
      <c r="L21" s="26"/>
    </row>
    <row r="22" spans="2:12" ht="13.5">
      <c r="B22" s="1" t="s">
        <v>10</v>
      </c>
      <c r="C22" s="7">
        <v>0</v>
      </c>
      <c r="D22" s="2" t="s">
        <v>28</v>
      </c>
      <c r="E22" s="8"/>
      <c r="F22" s="8"/>
      <c r="G22" s="8"/>
      <c r="I22" s="26"/>
      <c r="J22" s="26"/>
      <c r="K22" s="26"/>
      <c r="L22" s="26"/>
    </row>
    <row r="23" spans="2:12" ht="13.5">
      <c r="B23" s="3" t="s">
        <v>11</v>
      </c>
      <c r="C23" s="8">
        <v>0</v>
      </c>
      <c r="D23" s="4" t="s">
        <v>28</v>
      </c>
      <c r="E23" s="8"/>
      <c r="F23" s="8"/>
      <c r="G23" s="8"/>
      <c r="K23" s="26"/>
      <c r="L23" s="26"/>
    </row>
    <row r="24" spans="2:12" ht="13.5">
      <c r="B24" s="3" t="s">
        <v>12</v>
      </c>
      <c r="C24" s="8">
        <v>0</v>
      </c>
      <c r="D24" s="4" t="s">
        <v>28</v>
      </c>
      <c r="E24" s="8"/>
      <c r="F24" s="8"/>
      <c r="G24" s="8"/>
      <c r="I24" s="26"/>
      <c r="J24" s="26"/>
      <c r="K24" s="26"/>
      <c r="L24" s="26"/>
    </row>
    <row r="25" spans="2:12" ht="13.5">
      <c r="B25" s="5" t="s">
        <v>13</v>
      </c>
      <c r="C25" s="9">
        <v>5</v>
      </c>
      <c r="D25" s="6" t="s">
        <v>28</v>
      </c>
      <c r="E25" s="8"/>
      <c r="F25" s="8"/>
      <c r="G25" s="8"/>
      <c r="I25" s="26"/>
      <c r="J25" s="26"/>
      <c r="K25" s="26"/>
      <c r="L25" s="26"/>
    </row>
    <row r="26" spans="9:12" ht="13.5">
      <c r="I26" s="26"/>
      <c r="J26" s="26"/>
      <c r="K26" s="26"/>
      <c r="L26" s="26"/>
    </row>
    <row r="27" spans="2:12" ht="13.5">
      <c r="B27" s="1" t="s">
        <v>23</v>
      </c>
      <c r="C27" s="2">
        <v>0</v>
      </c>
      <c r="I27" s="26"/>
      <c r="J27" s="26"/>
      <c r="K27" s="26"/>
      <c r="L27" s="26"/>
    </row>
    <row r="28" spans="2:12" ht="13.5">
      <c r="B28" s="3" t="s">
        <v>24</v>
      </c>
      <c r="C28" s="4">
        <v>0</v>
      </c>
      <c r="I28" s="26"/>
      <c r="J28" s="26"/>
      <c r="K28" s="26"/>
      <c r="L28" s="26"/>
    </row>
    <row r="29" spans="2:12" ht="13.5">
      <c r="B29" s="14" t="s">
        <v>26</v>
      </c>
      <c r="C29" s="6">
        <v>0</v>
      </c>
      <c r="I29" s="26"/>
      <c r="J29" s="26"/>
      <c r="K29" s="26"/>
      <c r="L29" s="26"/>
    </row>
    <row r="30" spans="9:12" ht="13.5">
      <c r="I30" s="26"/>
      <c r="J30" s="26"/>
      <c r="K30" s="26"/>
      <c r="L30" s="26"/>
    </row>
    <row r="31" spans="2:12" ht="13.5">
      <c r="B31" s="11" t="s">
        <v>27</v>
      </c>
      <c r="C31" s="15">
        <v>600</v>
      </c>
      <c r="D31" s="12" t="s">
        <v>28</v>
      </c>
      <c r="I31" s="26"/>
      <c r="J31" s="26"/>
      <c r="K31" s="26"/>
      <c r="L31" s="26"/>
    </row>
    <row r="33" spans="2:3" s="8" customFormat="1" ht="13.5">
      <c r="B33" s="1" t="s">
        <v>31</v>
      </c>
      <c r="C33" s="2">
        <v>0</v>
      </c>
    </row>
    <row r="34" spans="2:3" ht="13.5">
      <c r="B34" s="5" t="s">
        <v>46</v>
      </c>
      <c r="C34" s="6">
        <v>0</v>
      </c>
    </row>
    <row r="36" spans="2:3" ht="13.5">
      <c r="B36" s="1" t="s">
        <v>29</v>
      </c>
      <c r="C36" s="2">
        <v>0</v>
      </c>
    </row>
    <row r="37" spans="2:3" ht="13.5">
      <c r="B37" s="14" t="s">
        <v>30</v>
      </c>
      <c r="C37" s="16">
        <v>0</v>
      </c>
    </row>
    <row r="39" spans="2:3" ht="13.5">
      <c r="B39" s="11" t="s">
        <v>47</v>
      </c>
      <c r="C39" s="1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McNeill</dc:creator>
  <cp:keywords/>
  <dc:description/>
  <cp:lastModifiedBy>Daniel McNeill</cp:lastModifiedBy>
  <dcterms:created xsi:type="dcterms:W3CDTF">2009-11-16T18:03:49Z</dcterms:created>
  <dcterms:modified xsi:type="dcterms:W3CDTF">2009-11-17T06:47:29Z</dcterms:modified>
  <cp:category/>
  <cp:version/>
  <cp:contentType/>
  <cp:contentStatus/>
</cp:coreProperties>
</file>